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66925"/>
  <xr:revisionPtr revIDLastSave="0" documentId="13_ncr:1_{B4940DCA-A880-40D1-A85F-7F567FEFFEB7}" xr6:coauthVersionLast="45" xr6:coauthVersionMax="45" xr10:uidLastSave="{00000000-0000-0000-0000-000000000000}"/>
  <bookViews>
    <workbookView xWindow="-120" yWindow="-120" windowWidth="25440" windowHeight="15390" xr2:uid="{68CD58E2-C1B7-4246-95A1-F25B5CD57666}"/>
  </bookViews>
  <sheets>
    <sheet name="S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8" i="1"/>
  <c r="B9" i="1"/>
  <c r="B22" i="1" s="1"/>
  <c r="B18" i="1" l="1"/>
  <c r="C18" i="1" s="1"/>
  <c r="D18" i="1" s="1"/>
  <c r="B36" i="1"/>
  <c r="C36" i="1" s="1"/>
  <c r="D36" i="1" s="1"/>
  <c r="B23" i="1"/>
  <c r="C23" i="1" s="1"/>
  <c r="D23" i="1" s="1"/>
  <c r="B28" i="1"/>
  <c r="B17" i="1"/>
  <c r="C17" i="1" s="1"/>
  <c r="D17" i="1" s="1"/>
  <c r="B32" i="1"/>
  <c r="B27" i="1"/>
  <c r="C27" i="1" s="1"/>
  <c r="D27" i="1" s="1"/>
  <c r="B20" i="1"/>
  <c r="B16" i="1"/>
  <c r="G16" i="1" s="1"/>
  <c r="B37" i="1"/>
  <c r="B31" i="1"/>
  <c r="C31" i="1" s="1"/>
  <c r="D31" i="1" s="1"/>
  <c r="B24" i="1"/>
  <c r="C24" i="1" s="1"/>
  <c r="D24" i="1" s="1"/>
  <c r="B19" i="1"/>
  <c r="C19" i="1" s="1"/>
  <c r="D19" i="1" s="1"/>
  <c r="B15" i="1"/>
  <c r="C15" i="1" s="1"/>
  <c r="D15" i="1" s="1"/>
  <c r="C22" i="1"/>
  <c r="D22" i="1" s="1"/>
  <c r="G22" i="1"/>
  <c r="B33" i="1"/>
  <c r="B29" i="1"/>
  <c r="B25" i="1"/>
  <c r="B21" i="1"/>
  <c r="B35" i="1"/>
  <c r="A34" i="1"/>
  <c r="B34" i="1" s="1"/>
  <c r="B30" i="1"/>
  <c r="B26" i="1"/>
  <c r="G19" i="1" l="1"/>
  <c r="F19" i="1" s="1"/>
  <c r="E19" i="1" s="1"/>
  <c r="G23" i="1"/>
  <c r="G17" i="1"/>
  <c r="F17" i="1" s="1"/>
  <c r="F16" i="1"/>
  <c r="H16" i="1" s="1"/>
  <c r="C16" i="1"/>
  <c r="D16" i="1" s="1"/>
  <c r="G15" i="1"/>
  <c r="F15" i="1" s="1"/>
  <c r="G18" i="1"/>
  <c r="F18" i="1" s="1"/>
  <c r="E18" i="1" s="1"/>
  <c r="G36" i="1"/>
  <c r="F36" i="1" s="1"/>
  <c r="E36" i="1" s="1"/>
  <c r="G24" i="1"/>
  <c r="G27" i="1"/>
  <c r="F27" i="1" s="1"/>
  <c r="E27" i="1" s="1"/>
  <c r="G32" i="1"/>
  <c r="F32" i="1" s="1"/>
  <c r="H32" i="1" s="1"/>
  <c r="C32" i="1"/>
  <c r="D32" i="1" s="1"/>
  <c r="G37" i="1"/>
  <c r="F37" i="1" s="1"/>
  <c r="H37" i="1" s="1"/>
  <c r="C37" i="1"/>
  <c r="D37" i="1" s="1"/>
  <c r="G31" i="1"/>
  <c r="F31" i="1" s="1"/>
  <c r="G20" i="1"/>
  <c r="F20" i="1" s="1"/>
  <c r="E20" i="1" s="1"/>
  <c r="C20" i="1"/>
  <c r="D20" i="1" s="1"/>
  <c r="G28" i="1"/>
  <c r="F28" i="1" s="1"/>
  <c r="E28" i="1" s="1"/>
  <c r="C28" i="1"/>
  <c r="D28" i="1" s="1"/>
  <c r="H20" i="1"/>
  <c r="F23" i="1"/>
  <c r="E23" i="1" s="1"/>
  <c r="F24" i="1"/>
  <c r="E24" i="1" s="1"/>
  <c r="C26" i="1"/>
  <c r="D26" i="1" s="1"/>
  <c r="G26" i="1"/>
  <c r="C34" i="1"/>
  <c r="D34" i="1" s="1"/>
  <c r="G34" i="1"/>
  <c r="C25" i="1"/>
  <c r="D25" i="1" s="1"/>
  <c r="G25" i="1"/>
  <c r="F25" i="1" s="1"/>
  <c r="E25" i="1" s="1"/>
  <c r="C35" i="1"/>
  <c r="D35" i="1" s="1"/>
  <c r="G35" i="1"/>
  <c r="C29" i="1"/>
  <c r="D29" i="1" s="1"/>
  <c r="G29" i="1"/>
  <c r="C30" i="1"/>
  <c r="D30" i="1" s="1"/>
  <c r="G30" i="1"/>
  <c r="F30" i="1" s="1"/>
  <c r="E30" i="1" s="1"/>
  <c r="C33" i="1"/>
  <c r="D33" i="1" s="1"/>
  <c r="G33" i="1"/>
  <c r="C21" i="1"/>
  <c r="D21" i="1" s="1"/>
  <c r="G21" i="1"/>
  <c r="F22" i="1"/>
  <c r="E22" i="1" s="1"/>
  <c r="H23" i="1" l="1"/>
  <c r="E16" i="1"/>
  <c r="E17" i="1"/>
  <c r="H17" i="1"/>
  <c r="E31" i="1"/>
  <c r="H31" i="1"/>
  <c r="H28" i="1"/>
  <c r="E32" i="1"/>
  <c r="E37" i="1"/>
  <c r="H36" i="1"/>
  <c r="H30" i="1"/>
  <c r="F29" i="1"/>
  <c r="E29" i="1" s="1"/>
  <c r="F34" i="1"/>
  <c r="E34" i="1" s="1"/>
  <c r="H19" i="1"/>
  <c r="H18" i="1"/>
  <c r="F33" i="1"/>
  <c r="E33" i="1" s="1"/>
  <c r="H25" i="1"/>
  <c r="H24" i="1"/>
  <c r="F35" i="1"/>
  <c r="E35" i="1" s="1"/>
  <c r="H22" i="1"/>
  <c r="H27" i="1"/>
  <c r="H15" i="1"/>
  <c r="E15" i="1"/>
  <c r="F26" i="1"/>
  <c r="E26" i="1" s="1"/>
  <c r="F21" i="1"/>
  <c r="E21" i="1" s="1"/>
  <c r="H35" i="1" l="1"/>
  <c r="H29" i="1"/>
  <c r="H21" i="1"/>
  <c r="H26" i="1"/>
  <c r="H33" i="1"/>
  <c r="H34" i="1"/>
</calcChain>
</file>

<file path=xl/sharedStrings.xml><?xml version="1.0" encoding="utf-8"?>
<sst xmlns="http://schemas.openxmlformats.org/spreadsheetml/2006/main" count="39" uniqueCount="22">
  <si>
    <t xml:space="preserve"> </t>
  </si>
  <si>
    <t>Total</t>
  </si>
  <si>
    <t>Var fees</t>
  </si>
  <si>
    <t>Fixed costs</t>
  </si>
  <si>
    <t>Pool epoch revenue</t>
  </si>
  <si>
    <t>Delegators rewards after tax (annualized)</t>
  </si>
  <si>
    <t>Delegators rewards before tax (annualized)</t>
  </si>
  <si>
    <t>Pool Year rewards</t>
  </si>
  <si>
    <t>Pool Stake</t>
  </si>
  <si>
    <t>Pool fees:</t>
  </si>
  <si>
    <t>Pool Fixed costs</t>
  </si>
  <si>
    <t>Pledge</t>
  </si>
  <si>
    <t>Saturation point</t>
  </si>
  <si>
    <t>Epoch reward pot</t>
  </si>
  <si>
    <t>k</t>
  </si>
  <si>
    <t>a0</t>
  </si>
  <si>
    <t>Treasury Tax</t>
  </si>
  <si>
    <t>Expansion rate</t>
  </si>
  <si>
    <t>Reserve</t>
  </si>
  <si>
    <t>Circulating Supply</t>
  </si>
  <si>
    <t>Total coins</t>
  </si>
  <si>
    <t>Pool epoch rewards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</si>
</sst>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([$₿]\ * #,##0.00_);_([$₿]\ * \(#,##0.00\);_([$₿]\ * &quot;-&quot;??_);_(@_)" x16r2:formatCode16="_([$₿-x-xbt2]\ * #,##0.00_);_([$₿-x-xbt2]\ * \(#,##0.00\);_([$₿-x-xbt2]\ * &quot;-&quot;??_);_(@_)"/>
    <numFmt numFmtId="165" formatCode="_-[$₩-412]* #,##0.00_-;\-[$₩-412]* #,##0.00_-;_-[$₩-412]* &quot;-&quot;??_-;_-@_-"/>
    <numFmt numFmtId="166" formatCode="_([$€-2]\ * #,##0.00_);_([$€-2]\ * \(#,##0.00\);_([$€-2]\ * &quot;-&quot;??_);_(@_)"/>
    <numFmt numFmtId="167" formatCode="0.000%"/>
    <numFmt numFmtId="168" formatCode="_(* #,##0_);_(* \(#,##0\);_(* &quot;-&quot;??_);_(@_)"/>
    <numFmt numFmtId="169" formatCode="0.0%"/>
    <numFmt numFmtId="170" formatCode="_(&quot;€&quot;* #,##0.0000_);_(&quot;€&quot;* \(#,##0.0000\);_(&quot;€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4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165" fontId="0" fillId="0" borderId="0" xfId="0" applyNumberFormat="1"/>
    <xf numFmtId="166" fontId="0" fillId="0" borderId="0" xfId="0" applyNumberFormat="1"/>
    <xf numFmtId="167" fontId="0" fillId="0" borderId="0" xfId="2" applyNumberFormat="1" applyFont="1" applyFill="1" applyBorder="1"/>
    <xf numFmtId="164" fontId="0" fillId="0" borderId="2" xfId="0" applyNumberFormat="1" applyBorder="1"/>
    <xf numFmtId="164" fontId="0" fillId="0" borderId="3" xfId="0" applyNumberFormat="1" applyBorder="1"/>
    <xf numFmtId="10" fontId="0" fillId="0" borderId="1" xfId="2" applyNumberFormat="1" applyFont="1" applyFill="1" applyBorder="1"/>
    <xf numFmtId="10" fontId="0" fillId="0" borderId="4" xfId="2" applyNumberFormat="1" applyFont="1" applyBorder="1"/>
    <xf numFmtId="164" fontId="0" fillId="0" borderId="4" xfId="0" applyNumberFormat="1" applyBorder="1"/>
    <xf numFmtId="164" fontId="0" fillId="0" borderId="6" xfId="0" applyNumberFormat="1" applyBorder="1"/>
    <xf numFmtId="10" fontId="0" fillId="0" borderId="5" xfId="2" applyNumberFormat="1" applyFont="1" applyFill="1" applyBorder="1"/>
    <xf numFmtId="10" fontId="0" fillId="0" borderId="7" xfId="2" applyNumberFormat="1" applyFont="1" applyBorder="1"/>
    <xf numFmtId="164" fontId="0" fillId="0" borderId="7" xfId="0" applyNumberFormat="1" applyBorder="1"/>
    <xf numFmtId="16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169" fontId="3" fillId="0" borderId="0" xfId="0" applyNumberFormat="1" applyFont="1"/>
    <xf numFmtId="169" fontId="3" fillId="0" borderId="5" xfId="0" applyNumberFormat="1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/>
    <xf numFmtId="169" fontId="3" fillId="0" borderId="0" xfId="0" applyNumberFormat="1" applyFont="1" applyAlignment="1">
      <alignment horizontal="center"/>
    </xf>
    <xf numFmtId="169" fontId="3" fillId="0" borderId="8" xfId="0" applyNumberFormat="1" applyFont="1" applyBorder="1" applyAlignment="1">
      <alignment horizontal="center" vertical="center"/>
    </xf>
    <xf numFmtId="169" fontId="3" fillId="0" borderId="9" xfId="0" applyNumberFormat="1" applyFont="1" applyBorder="1" applyAlignment="1">
      <alignment horizontal="center" vertical="center"/>
    </xf>
    <xf numFmtId="16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9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left"/>
    </xf>
    <xf numFmtId="9" fontId="0" fillId="2" borderId="0" xfId="2" applyFont="1" applyFill="1" applyBorder="1" applyAlignment="1">
      <alignment horizontal="center"/>
    </xf>
    <xf numFmtId="0" fontId="3" fillId="0" borderId="2" xfId="0" applyFont="1" applyBorder="1"/>
    <xf numFmtId="168" fontId="0" fillId="0" borderId="0" xfId="0" applyNumberFormat="1"/>
    <xf numFmtId="1" fontId="0" fillId="2" borderId="0" xfId="0" applyNumberFormat="1" applyFill="1" applyAlignment="1">
      <alignment horizontal="center"/>
    </xf>
    <xf numFmtId="0" fontId="3" fillId="0" borderId="0" xfId="0" applyFont="1" applyAlignment="1">
      <alignment horizontal="left"/>
    </xf>
    <xf numFmtId="168" fontId="0" fillId="2" borderId="0" xfId="1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2" applyFont="1" applyFill="1" applyAlignment="1">
      <alignment horizontal="center"/>
    </xf>
    <xf numFmtId="10" fontId="0" fillId="2" borderId="0" xfId="2" applyNumberFormat="1" applyFont="1" applyFill="1" applyAlignment="1">
      <alignment horizontal="center"/>
    </xf>
    <xf numFmtId="170" fontId="0" fillId="0" borderId="0" xfId="0" applyNumberFormat="1"/>
    <xf numFmtId="168" fontId="0" fillId="0" borderId="0" xfId="1" applyNumberFormat="1" applyFont="1" applyFill="1" applyAlignment="1">
      <alignment horizontal="center"/>
    </xf>
    <xf numFmtId="9" fontId="0" fillId="0" borderId="0" xfId="2" applyFont="1"/>
    <xf numFmtId="9" fontId="0" fillId="0" borderId="0" xfId="2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8" fontId="0" fillId="0" borderId="0" xfId="1" applyNumberFormat="1" applyFont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168" fontId="0" fillId="2" borderId="5" xfId="1" applyNumberFormat="1" applyFont="1" applyFill="1" applyBorder="1"/>
    <xf numFmtId="168" fontId="0" fillId="2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752475</xdr:colOff>
      <xdr:row>1</xdr:row>
      <xdr:rowOff>57150</xdr:rowOff>
    </xdr:from>
    <xdr:ext cx="5069352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60E330FC-8DA7-4222-AD2D-3261752A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257175"/>
          <a:ext cx="5069352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FE71-6692-47A7-8806-090A3371C26C}">
  <dimension ref="A1:U55"/>
  <sheetViews>
    <sheetView tabSelected="1" workbookViewId="0">
      <pane ySplit="13" topLeftCell="A14" activePane="bottomLeft" state="frozen"/>
      <selection pane="bottomLeft" activeCell="B13" sqref="B13"/>
    </sheetView>
  </sheetViews>
  <sheetFormatPr defaultRowHeight="15.75" x14ac:dyDescent="0.25"/>
  <cols>
    <col min="1" max="1" width="16.375" bestFit="1" customWidth="1"/>
    <col min="2" max="2" width="15" bestFit="1" customWidth="1"/>
    <col min="3" max="3" width="17.125" bestFit="1" customWidth="1"/>
    <col min="4" max="4" width="16.5" customWidth="1"/>
    <col min="5" max="5" width="16.125" customWidth="1"/>
    <col min="6" max="6" width="13.375" bestFit="1" customWidth="1"/>
    <col min="7" max="7" width="13" customWidth="1"/>
    <col min="8" max="8" width="10.625" bestFit="1" customWidth="1"/>
    <col min="9" max="9" width="13" bestFit="1" customWidth="1"/>
    <col min="10" max="10" width="5.125" bestFit="1" customWidth="1"/>
    <col min="11" max="11" width="12.75" customWidth="1"/>
    <col min="12" max="12" width="10.75" bestFit="1" customWidth="1"/>
    <col min="13" max="13" width="10.75" customWidth="1"/>
    <col min="14" max="14" width="9.25" bestFit="1" customWidth="1"/>
    <col min="15" max="15" width="13" bestFit="1" customWidth="1"/>
    <col min="16" max="16" width="13.5" bestFit="1" customWidth="1"/>
    <col min="17" max="17" width="12.75" customWidth="1"/>
    <col min="18" max="18" width="10.75" bestFit="1" customWidth="1"/>
    <col min="19" max="19" width="10.75" customWidth="1"/>
    <col min="20" max="20" width="10.625" bestFit="1" customWidth="1"/>
    <col min="21" max="21" width="13" bestFit="1" customWidth="1"/>
  </cols>
  <sheetData>
    <row r="1" spans="1:21" x14ac:dyDescent="0.25">
      <c r="A1" s="39" t="s">
        <v>20</v>
      </c>
      <c r="B1" s="51">
        <v>45000000000</v>
      </c>
      <c r="D1" s="50" t="s">
        <v>0</v>
      </c>
      <c r="F1" s="50" t="s">
        <v>0</v>
      </c>
      <c r="G1" s="50" t="s">
        <v>0</v>
      </c>
      <c r="H1" s="50" t="s">
        <v>0</v>
      </c>
      <c r="I1" s="50" t="s">
        <v>0</v>
      </c>
      <c r="J1" s="50" t="s">
        <v>0</v>
      </c>
      <c r="L1" s="50" t="s">
        <v>0</v>
      </c>
      <c r="M1" s="19" t="s">
        <v>0</v>
      </c>
      <c r="N1" s="19"/>
    </row>
    <row r="2" spans="1:21" x14ac:dyDescent="0.25">
      <c r="A2" s="39" t="s">
        <v>19</v>
      </c>
      <c r="B2" s="46">
        <v>31700000000</v>
      </c>
      <c r="D2" s="49" t="s">
        <v>0</v>
      </c>
      <c r="F2" s="48" t="s">
        <v>0</v>
      </c>
      <c r="G2" s="46" t="s">
        <v>0</v>
      </c>
      <c r="I2" s="47" t="s">
        <v>0</v>
      </c>
      <c r="J2" s="46" t="s">
        <v>0</v>
      </c>
      <c r="L2" s="45" t="s">
        <v>0</v>
      </c>
      <c r="M2" s="5" t="s">
        <v>0</v>
      </c>
      <c r="N2" s="5"/>
    </row>
    <row r="3" spans="1:21" x14ac:dyDescent="0.25">
      <c r="A3" s="39" t="s">
        <v>18</v>
      </c>
      <c r="B3" s="37">
        <f>B1-B2</f>
        <v>13300000000</v>
      </c>
      <c r="C3" t="s">
        <v>0</v>
      </c>
      <c r="E3" s="37" t="s">
        <v>0</v>
      </c>
      <c r="G3" s="37"/>
    </row>
    <row r="4" spans="1:21" x14ac:dyDescent="0.25">
      <c r="A4" s="39" t="s">
        <v>17</v>
      </c>
      <c r="B4" s="44">
        <v>3.0000000000000001E-3</v>
      </c>
      <c r="E4" s="37"/>
      <c r="F4" s="37"/>
      <c r="G4" s="37"/>
    </row>
    <row r="5" spans="1:21" x14ac:dyDescent="0.25">
      <c r="A5" s="39" t="s">
        <v>16</v>
      </c>
      <c r="B5" s="43">
        <v>0.2</v>
      </c>
      <c r="E5" s="37"/>
      <c r="F5" s="37"/>
      <c r="G5" s="37"/>
    </row>
    <row r="6" spans="1:21" x14ac:dyDescent="0.25">
      <c r="A6" s="39" t="s">
        <v>15</v>
      </c>
      <c r="B6" s="42">
        <v>0.3</v>
      </c>
      <c r="E6" s="37"/>
      <c r="F6" s="37"/>
      <c r="G6" s="37"/>
    </row>
    <row r="7" spans="1:21" x14ac:dyDescent="0.25">
      <c r="A7" s="39" t="s">
        <v>14</v>
      </c>
      <c r="B7" s="42">
        <v>150</v>
      </c>
      <c r="E7" s="37"/>
      <c r="F7" s="37"/>
      <c r="G7" s="37"/>
    </row>
    <row r="8" spans="1:21" x14ac:dyDescent="0.25">
      <c r="A8" s="39" t="s">
        <v>13</v>
      </c>
      <c r="B8" s="41">
        <f>B3*B4*(1-B5)</f>
        <v>31920000</v>
      </c>
      <c r="E8" s="37"/>
      <c r="F8" s="37"/>
      <c r="G8" s="37"/>
    </row>
    <row r="9" spans="1:21" x14ac:dyDescent="0.25">
      <c r="A9" s="39" t="s">
        <v>12</v>
      </c>
      <c r="B9" s="37">
        <f>B2/B7</f>
        <v>211333333.33333334</v>
      </c>
      <c r="E9" s="37"/>
      <c r="F9" s="37"/>
      <c r="G9" s="37"/>
    </row>
    <row r="10" spans="1:21" x14ac:dyDescent="0.25">
      <c r="A10" s="39" t="s">
        <v>11</v>
      </c>
      <c r="B10" s="40">
        <v>500000</v>
      </c>
      <c r="E10" s="37"/>
      <c r="F10" s="37"/>
      <c r="G10" s="37"/>
    </row>
    <row r="11" spans="1:21" x14ac:dyDescent="0.25">
      <c r="A11" s="39" t="s">
        <v>10</v>
      </c>
      <c r="B11" s="38">
        <v>340</v>
      </c>
      <c r="E11" s="37"/>
      <c r="F11" s="37"/>
      <c r="G11" s="37"/>
    </row>
    <row r="12" spans="1:21" x14ac:dyDescent="0.25">
      <c r="A12" s="36" t="s">
        <v>9</v>
      </c>
      <c r="B12" s="35">
        <v>0.02</v>
      </c>
      <c r="K12" s="19"/>
      <c r="L12" s="34"/>
      <c r="M12" s="33"/>
      <c r="Q12" s="19"/>
      <c r="R12" s="33"/>
      <c r="S12" s="33"/>
    </row>
    <row r="13" spans="1:21" ht="47.25" x14ac:dyDescent="0.25">
      <c r="A13" s="32" t="s">
        <v>8</v>
      </c>
      <c r="B13" s="30" t="s">
        <v>21</v>
      </c>
      <c r="C13" s="31" t="s">
        <v>7</v>
      </c>
      <c r="D13" s="31" t="s">
        <v>6</v>
      </c>
      <c r="E13" s="30" t="s">
        <v>5</v>
      </c>
      <c r="F13" s="29" t="s">
        <v>4</v>
      </c>
      <c r="G13" s="28"/>
      <c r="H13" s="27"/>
      <c r="I13" s="20"/>
      <c r="J13" s="19"/>
      <c r="K13" s="18"/>
      <c r="L13" s="26"/>
      <c r="M13" s="26"/>
      <c r="N13" s="26"/>
      <c r="O13" s="26"/>
      <c r="P13" s="19"/>
      <c r="Q13" s="18"/>
      <c r="R13" s="26"/>
      <c r="S13" s="26"/>
      <c r="T13" s="26"/>
      <c r="U13" s="26"/>
    </row>
    <row r="14" spans="1:21" x14ac:dyDescent="0.25">
      <c r="A14" s="25"/>
      <c r="B14" s="18"/>
      <c r="C14" s="24"/>
      <c r="D14" s="24"/>
      <c r="E14" s="18"/>
      <c r="F14" s="23" t="s">
        <v>3</v>
      </c>
      <c r="G14" s="22" t="s">
        <v>2</v>
      </c>
      <c r="H14" s="21" t="s">
        <v>1</v>
      </c>
      <c r="I14" s="20"/>
      <c r="J14" s="19"/>
      <c r="K14" s="18"/>
      <c r="L14" s="17"/>
      <c r="M14" s="17"/>
      <c r="N14" s="17"/>
      <c r="O14" s="17"/>
      <c r="P14" s="19"/>
      <c r="Q14" s="18"/>
      <c r="R14" s="17"/>
      <c r="S14" s="17"/>
      <c r="T14" s="17"/>
      <c r="U14" s="17"/>
    </row>
    <row r="15" spans="1:21" x14ac:dyDescent="0.25">
      <c r="A15" s="54">
        <v>500000</v>
      </c>
      <c r="B15" s="1">
        <f>IF(A15&lt;$B$10,0,IF($B$9&gt;A15,($B$8/(1+$B$6))*(A15/$B$2*(1+$B$10/A15*$B$6)),($B$8/(1+$B$6))*($B$9/$B$2*(1+$B$10/A15*$B$6))))</f>
        <v>503.47003154574139</v>
      </c>
      <c r="C15" s="16">
        <f>B15*73</f>
        <v>36753.31230283912</v>
      </c>
      <c r="D15" s="15">
        <f>C15/A15</f>
        <v>7.3506624605678236E-2</v>
      </c>
      <c r="E15" s="14">
        <f>IF(B15=0, 0, (B15-F15-G15)*73/A15)</f>
        <v>2.3389292113564674E-2</v>
      </c>
      <c r="F15" s="13">
        <f>IF(B15&lt;G15,0,(B15-G15)*$B$12)</f>
        <v>3.269400630914828</v>
      </c>
      <c r="G15" s="1">
        <f>MIN($B$11,B15)</f>
        <v>340</v>
      </c>
      <c r="H15" s="52">
        <f>G15+F15</f>
        <v>343.26940063091484</v>
      </c>
      <c r="I15" s="5"/>
      <c r="K15" s="7"/>
      <c r="L15" s="1"/>
      <c r="M15" s="1"/>
      <c r="N15" s="6"/>
      <c r="O15" s="5"/>
      <c r="Q15" s="7"/>
      <c r="R15" s="1"/>
      <c r="S15" s="1"/>
      <c r="T15" s="6"/>
      <c r="U15" s="5"/>
    </row>
    <row r="16" spans="1:21" x14ac:dyDescent="0.25">
      <c r="A16" s="54">
        <v>750000</v>
      </c>
      <c r="B16" s="1">
        <f>IF(A16&lt;$B$10,0,IF($B$9&gt;A16,($B$8/(1+$B$6))*(A16/$B$2*(1+$B$10/A16*$B$6)),($B$8/(1+$B$6))*($B$9/$B$2*(1+$B$10/A16*$B$6))))</f>
        <v>697.11235137102631</v>
      </c>
      <c r="C16" s="16">
        <f>B16*73</f>
        <v>50889.20165008492</v>
      </c>
      <c r="D16" s="15">
        <f>C16/A16</f>
        <v>6.7852268866779891E-2</v>
      </c>
      <c r="E16" s="14">
        <f>IF(B16=0, 0, (B16-F16-G16)*73/A16)</f>
        <v>3.4063756822777624E-2</v>
      </c>
      <c r="F16" s="13">
        <f>IF(B16&lt;G16,0,(B16-G16)*$B$12)</f>
        <v>7.1422470274205265</v>
      </c>
      <c r="G16" s="1">
        <f>MIN($B$11,B16)</f>
        <v>340</v>
      </c>
      <c r="H16" s="52">
        <f t="shared" ref="H16:H37" si="0">G16+F16</f>
        <v>347.14224702742052</v>
      </c>
      <c r="I16" s="5"/>
      <c r="K16" s="7"/>
      <c r="L16" s="1"/>
      <c r="M16" s="1"/>
      <c r="N16" s="6"/>
      <c r="O16" s="5"/>
      <c r="Q16" s="7"/>
      <c r="R16" s="1"/>
      <c r="S16" s="1"/>
      <c r="T16" s="6"/>
      <c r="U16" s="5"/>
    </row>
    <row r="17" spans="1:21" x14ac:dyDescent="0.25">
      <c r="A17" s="54">
        <v>1000000</v>
      </c>
      <c r="B17" s="1">
        <f>IF(A17&lt;$B$10,0,IF($B$9&gt;A17,($B$8/(1+$B$6))*(A17/$B$2*(1+$B$10/A17*$B$6)),($B$8/(1+$B$6))*($B$9/$B$2*(1+$B$10/A17*$B$6))))</f>
        <v>890.75467119631151</v>
      </c>
      <c r="C17" s="16">
        <f>B17*73</f>
        <v>65025.090997330743</v>
      </c>
      <c r="D17" s="15">
        <f>C17/A17</f>
        <v>6.5025090997330739E-2</v>
      </c>
      <c r="E17" s="14">
        <f>IF(B17=0, 0, (B17-F17-G17)*73/A17)</f>
        <v>3.9400989177384126E-2</v>
      </c>
      <c r="F17" s="13">
        <f>IF(B17&lt;G17,0,(B17-G17)*$B$12)</f>
        <v>11.015093423926229</v>
      </c>
      <c r="G17" s="1">
        <f>MIN($B$11,B17)</f>
        <v>340</v>
      </c>
      <c r="H17" s="52">
        <f t="shared" si="0"/>
        <v>351.0150934239262</v>
      </c>
      <c r="I17" s="5"/>
      <c r="K17" s="7"/>
      <c r="L17" s="1"/>
      <c r="M17" s="1"/>
      <c r="N17" s="6"/>
      <c r="O17" s="5"/>
      <c r="Q17" s="7"/>
      <c r="R17" s="1"/>
      <c r="S17" s="1"/>
      <c r="T17" s="6"/>
      <c r="U17" s="5"/>
    </row>
    <row r="18" spans="1:21" x14ac:dyDescent="0.25">
      <c r="A18" s="54">
        <v>1500000</v>
      </c>
      <c r="B18" s="1">
        <f>IF(A18&lt;$B$10,0,IF($B$9&gt;A18,($B$8/(1+$B$6))*(A18/$B$2*(1+$B$10/A18*$B$6)),($B$8/(1+$B$6))*($B$9/$B$2*(1+$B$10/A18*$B$6))))</f>
        <v>1278.0393108468818</v>
      </c>
      <c r="C18" s="16">
        <f>B18*73</f>
        <v>93296.869691822372</v>
      </c>
      <c r="D18" s="15">
        <f>C18/A18</f>
        <v>6.2197913127881581E-2</v>
      </c>
      <c r="E18" s="14">
        <f>IF(B18=0, 0, (B18-F18-G18)*73/A18)</f>
        <v>4.4738221531990613E-2</v>
      </c>
      <c r="F18" s="13">
        <f>IF(B18&lt;G18,0,(B18-G18)*$B$12)</f>
        <v>18.760786216937635</v>
      </c>
      <c r="G18" s="1">
        <f>MIN($B$11,B18)</f>
        <v>340</v>
      </c>
      <c r="H18" s="52">
        <f t="shared" si="0"/>
        <v>358.76078621693762</v>
      </c>
      <c r="I18" s="5"/>
      <c r="K18" s="7"/>
      <c r="L18" s="1"/>
      <c r="M18" s="1"/>
      <c r="N18" s="6"/>
      <c r="O18" s="5"/>
      <c r="Q18" s="7"/>
      <c r="R18" s="1"/>
      <c r="S18" s="1"/>
      <c r="T18" s="6"/>
      <c r="U18" s="5"/>
    </row>
    <row r="19" spans="1:21" x14ac:dyDescent="0.25">
      <c r="A19" s="54">
        <v>2000000</v>
      </c>
      <c r="B19" s="1">
        <f>IF(A19&lt;$B$10,0,IF($B$9&gt;A19,($B$8/(1+$B$6))*(A19/$B$2*(1+$B$10/A19*$B$6)),($B$8/(1+$B$6))*($B$9/$B$2*(1+$B$10/A19*$B$6))))</f>
        <v>1665.323950497452</v>
      </c>
      <c r="C19" s="16">
        <f>B19*73</f>
        <v>121568.64838631399</v>
      </c>
      <c r="D19" s="15">
        <f>C19/A19</f>
        <v>6.0784324193156991E-2</v>
      </c>
      <c r="E19" s="14">
        <f>IF(B19=0, 0, (B19-F19-G19)*73/A19)</f>
        <v>4.7406837709293853E-2</v>
      </c>
      <c r="F19" s="13">
        <f>IF(B19&lt;G19,0,(B19-G19)*$B$12)</f>
        <v>26.506479009949039</v>
      </c>
      <c r="G19" s="1">
        <f>MIN($B$11,B19)</f>
        <v>340</v>
      </c>
      <c r="H19" s="52">
        <f t="shared" si="0"/>
        <v>366.50647900994903</v>
      </c>
      <c r="I19" s="5"/>
      <c r="K19" s="7"/>
      <c r="L19" s="1"/>
      <c r="M19" s="1"/>
      <c r="N19" s="6"/>
      <c r="O19" s="5"/>
      <c r="Q19" s="7"/>
      <c r="R19" s="1"/>
      <c r="S19" s="1"/>
      <c r="T19" s="6"/>
      <c r="U19" s="5"/>
    </row>
    <row r="20" spans="1:21" x14ac:dyDescent="0.25">
      <c r="A20" s="54">
        <v>3000000</v>
      </c>
      <c r="B20" s="1">
        <f>IF(A20&lt;$B$10,0,IF($B$9&gt;A20,($B$8/(1+$B$6))*(A20/$B$2*(1+$B$10/A20*$B$6)),($B$8/(1+$B$6))*($B$9/$B$2*(1+$B$10/A20*$B$6))))</f>
        <v>2439.8932297985921</v>
      </c>
      <c r="C20" s="16">
        <f>B20*73</f>
        <v>178112.20577529722</v>
      </c>
      <c r="D20" s="15">
        <f>C20/A20</f>
        <v>5.9370735258432408E-2</v>
      </c>
      <c r="E20" s="14">
        <f>IF(B20=0, 0, (B20-F20-G20)*73/A20)</f>
        <v>5.00754538865971E-2</v>
      </c>
      <c r="F20" s="13">
        <f>IF(B20&lt;G20,0,(B20-G20)*$B$12)</f>
        <v>41.997864595971841</v>
      </c>
      <c r="G20" s="1">
        <f>MIN($B$11,B20)</f>
        <v>340</v>
      </c>
      <c r="H20" s="52">
        <f t="shared" si="0"/>
        <v>381.99786459597186</v>
      </c>
      <c r="I20" s="5"/>
      <c r="K20" s="7"/>
      <c r="L20" s="1"/>
      <c r="M20" s="1"/>
      <c r="N20" s="6"/>
      <c r="O20" s="5"/>
      <c r="Q20" s="7"/>
      <c r="R20" s="1"/>
      <c r="S20" s="1"/>
      <c r="T20" s="6"/>
      <c r="U20" s="5"/>
    </row>
    <row r="21" spans="1:21" x14ac:dyDescent="0.25">
      <c r="A21" s="54">
        <v>5000000</v>
      </c>
      <c r="B21" s="1">
        <f>IF(A21&lt;$B$10,0,IF($B$9&gt;A21,($B$8/(1+$B$6))*(A21/$B$2*(1+$B$10/A21*$B$6)),($B$8/(1+$B$6))*($B$9/$B$2*(1+$B$10/A21*$B$6))))</f>
        <v>3989.0317884008737</v>
      </c>
      <c r="C21" s="16">
        <f>B21*73</f>
        <v>291199.32055326377</v>
      </c>
      <c r="D21" s="15">
        <f>C21/A21</f>
        <v>5.8239864110652753E-2</v>
      </c>
      <c r="E21" s="14">
        <f>IF(B21=0, 0, (B21-F21-G21)*73/A21)</f>
        <v>5.2210346828439697E-2</v>
      </c>
      <c r="F21" s="13">
        <f>IF(B21&lt;G21,0,(B21-G21)*$B$12)</f>
        <v>72.980635768017478</v>
      </c>
      <c r="G21" s="1">
        <f>MIN($B$11,B21)</f>
        <v>340</v>
      </c>
      <c r="H21" s="52">
        <f t="shared" si="0"/>
        <v>412.98063576801746</v>
      </c>
      <c r="I21" s="5"/>
      <c r="K21" s="7"/>
      <c r="L21" s="1"/>
      <c r="M21" s="1"/>
      <c r="N21" s="6"/>
      <c r="O21" s="5"/>
      <c r="Q21" s="7"/>
      <c r="R21" s="1"/>
      <c r="S21" s="1"/>
      <c r="T21" s="6"/>
      <c r="U21" s="5"/>
    </row>
    <row r="22" spans="1:21" x14ac:dyDescent="0.25">
      <c r="A22" s="54">
        <v>7500000</v>
      </c>
      <c r="B22" s="1">
        <f>IF(A22&lt;$B$10,0,IF($B$9&gt;A22,($B$8/(1+$B$6))*(A22/$B$2*(1+$B$10/A22*$B$6)),($B$8/(1+$B$6))*($B$9/$B$2*(1+$B$10/A22*$B$6))))</f>
        <v>5925.4549866537245</v>
      </c>
      <c r="C22" s="16">
        <f>B22*73</f>
        <v>432558.21402572189</v>
      </c>
      <c r="D22" s="15">
        <f>C22/A22</f>
        <v>5.7674428536762919E-2</v>
      </c>
      <c r="E22" s="14">
        <f>IF(B22=0, 0, (B22-F22-G22)*73/A22)</f>
        <v>5.3277793299360991E-2</v>
      </c>
      <c r="F22" s="13">
        <f>IF(B22&lt;G22,0,(B22-G22)*$B$12)</f>
        <v>111.7090997330745</v>
      </c>
      <c r="G22" s="1">
        <f>MIN($B$11,B22)</f>
        <v>340</v>
      </c>
      <c r="H22" s="52">
        <f t="shared" si="0"/>
        <v>451.70909973307448</v>
      </c>
      <c r="I22" s="5"/>
      <c r="K22" s="7"/>
      <c r="L22" s="1"/>
      <c r="M22" s="1"/>
      <c r="N22" s="6"/>
      <c r="O22" s="5"/>
      <c r="Q22" s="7"/>
      <c r="R22" s="1"/>
      <c r="S22" s="1"/>
      <c r="T22" s="6"/>
      <c r="U22" s="5"/>
    </row>
    <row r="23" spans="1:21" x14ac:dyDescent="0.25">
      <c r="A23" s="54">
        <v>10000000</v>
      </c>
      <c r="B23" s="1">
        <f>IF(A23&lt;$B$10,0,IF($B$9&gt;A23,($B$8/(1+$B$6))*(A23/$B$2*(1+$B$10/A23*$B$6)),($B$8/(1+$B$6))*($B$9/$B$2*(1+$B$10/A23*$B$6))))</f>
        <v>7861.8781849065754</v>
      </c>
      <c r="C23" s="16">
        <f>B23*73</f>
        <v>573917.10749818</v>
      </c>
      <c r="D23" s="15">
        <f>C23/A23</f>
        <v>5.7391710749817998E-2</v>
      </c>
      <c r="E23" s="14">
        <f>IF(B23=0, 0, (B23-F23-G23)*73/A23)</f>
        <v>5.3811516534821642E-2</v>
      </c>
      <c r="F23" s="13">
        <f>IF(B23&lt;G23,0,(B23-G23)*$B$12)</f>
        <v>150.4375636981315</v>
      </c>
      <c r="G23" s="1">
        <f>MIN($B$11,B23)</f>
        <v>340</v>
      </c>
      <c r="H23" s="52">
        <f t="shared" si="0"/>
        <v>490.4375636981315</v>
      </c>
      <c r="I23" s="5"/>
      <c r="K23" s="7"/>
      <c r="L23" s="1"/>
      <c r="M23" s="1"/>
      <c r="N23" s="6"/>
      <c r="O23" s="5"/>
      <c r="Q23" s="7"/>
      <c r="R23" s="1"/>
      <c r="S23" s="1"/>
      <c r="T23" s="6"/>
      <c r="U23" s="5"/>
    </row>
    <row r="24" spans="1:21" x14ac:dyDescent="0.25">
      <c r="A24" s="54">
        <v>15000000</v>
      </c>
      <c r="B24" s="1">
        <f>IF(A24&lt;$B$10,0,IF($B$9&gt;A24,($B$8/(1+$B$6))*(A24/$B$2*(1+$B$10/A24*$B$6)),($B$8/(1+$B$6))*($B$9/$B$2*(1+$B$10/A24*$B$6))))</f>
        <v>11734.724581412278</v>
      </c>
      <c r="C24" s="16">
        <f>B24*73</f>
        <v>856634.89444309624</v>
      </c>
      <c r="D24" s="15">
        <f>C24/A24</f>
        <v>5.7108992962873084E-2</v>
      </c>
      <c r="E24" s="14">
        <f>IF(B24=0, 0, (B24-F24-G24)*73/A24)</f>
        <v>5.4345239770282293E-2</v>
      </c>
      <c r="F24" s="13">
        <f>IF(B24&lt;G24,0,(B24-G24)*$B$12)</f>
        <v>227.89449162824556</v>
      </c>
      <c r="G24" s="1">
        <f>MIN($B$11,B24)</f>
        <v>340</v>
      </c>
      <c r="H24" s="52">
        <f t="shared" si="0"/>
        <v>567.89449162824553</v>
      </c>
      <c r="I24" s="5"/>
      <c r="K24" s="7"/>
      <c r="L24" s="1"/>
      <c r="M24" s="1"/>
      <c r="N24" s="6"/>
      <c r="O24" s="5"/>
      <c r="Q24" s="7"/>
      <c r="R24" s="1"/>
      <c r="S24" s="1"/>
      <c r="T24" s="6"/>
      <c r="U24" s="5"/>
    </row>
    <row r="25" spans="1:21" x14ac:dyDescent="0.25">
      <c r="A25" s="54">
        <v>20000000</v>
      </c>
      <c r="B25" s="1">
        <f>IF(A25&lt;$B$10,0,IF($B$9&gt;A25,($B$8/(1+$B$6))*(A25/$B$2*(1+$B$10/A25*$B$6)),($B$8/(1+$B$6))*($B$9/$B$2*(1+$B$10/A25*$B$6))))</f>
        <v>15607.570977917982</v>
      </c>
      <c r="C25" s="16">
        <f>B25*73</f>
        <v>1139352.6813880126</v>
      </c>
      <c r="D25" s="15">
        <f>C25/A25</f>
        <v>5.6967634069400627E-2</v>
      </c>
      <c r="E25" s="14">
        <f>IF(B25=0, 0, (B25-F25-G25)*73/A25)</f>
        <v>5.4612101388012618E-2</v>
      </c>
      <c r="F25" s="13">
        <f>IF(B25&lt;G25,0,(B25-G25)*$B$12)</f>
        <v>305.35141955835962</v>
      </c>
      <c r="G25" s="1">
        <f>MIN($B$11,B25)</f>
        <v>340</v>
      </c>
      <c r="H25" s="52">
        <f t="shared" si="0"/>
        <v>645.35141955835957</v>
      </c>
      <c r="I25" s="5"/>
      <c r="K25" s="7"/>
      <c r="L25" s="1"/>
      <c r="M25" s="1"/>
      <c r="N25" s="6"/>
      <c r="O25" s="5"/>
      <c r="Q25" s="7"/>
      <c r="R25" s="1"/>
      <c r="S25" s="1"/>
      <c r="T25" s="6"/>
      <c r="U25" s="5"/>
    </row>
    <row r="26" spans="1:21" x14ac:dyDescent="0.25">
      <c r="A26" s="54">
        <v>25000000</v>
      </c>
      <c r="B26" s="1">
        <f>IF(A26&lt;$B$10,0,IF($B$9&gt;A26,($B$8/(1+$B$6))*(A26/$B$2*(1+$B$10/A26*$B$6)),($B$8/(1+$B$6))*($B$9/$B$2*(1+$B$10/A26*$B$6))))</f>
        <v>19480.417374423683</v>
      </c>
      <c r="C26" s="16">
        <f>B26*73</f>
        <v>1422070.4683329288</v>
      </c>
      <c r="D26" s="15">
        <f>C26/A26</f>
        <v>5.6882818733317152E-2</v>
      </c>
      <c r="E26" s="14">
        <f>IF(B26=0, 0, (B26-F26-G26)*73/A26)</f>
        <v>5.4772218358650815E-2</v>
      </c>
      <c r="F26" s="13">
        <f>IF(B26&lt;G26,0,(B26-G26)*$B$12)</f>
        <v>382.80834748847366</v>
      </c>
      <c r="G26" s="1">
        <f>MIN($B$11,B26)</f>
        <v>340</v>
      </c>
      <c r="H26" s="52">
        <f t="shared" si="0"/>
        <v>722.8083474884736</v>
      </c>
      <c r="I26" s="5"/>
      <c r="K26" s="7"/>
      <c r="L26" s="1"/>
      <c r="M26" s="1"/>
      <c r="N26" s="6"/>
      <c r="O26" s="5"/>
      <c r="Q26" s="7"/>
      <c r="R26" s="1"/>
      <c r="S26" s="1"/>
      <c r="T26" s="6"/>
      <c r="U26" s="5"/>
    </row>
    <row r="27" spans="1:21" x14ac:dyDescent="0.25">
      <c r="A27" s="54">
        <v>50000000</v>
      </c>
      <c r="B27" s="1">
        <f>IF(A27&lt;$B$10,0,IF($B$9&gt;A27,($B$8/(1+$B$6))*(A27/$B$2*(1+$B$10/A27*$B$6)),($B$8/(1+$B$6))*($B$9/$B$2*(1+$B$10/A27*$B$6))))</f>
        <v>38844.649356952184</v>
      </c>
      <c r="C27" s="16">
        <f>B27*73</f>
        <v>2835659.4030575096</v>
      </c>
      <c r="D27" s="15">
        <f>C27/A27</f>
        <v>5.6713188061150194E-2</v>
      </c>
      <c r="E27" s="14">
        <f>IF(B27=0, 0, (B27-F27-G27)*73/A27)</f>
        <v>5.5092452299927187E-2</v>
      </c>
      <c r="F27" s="13">
        <f>IF(B27&lt;G27,0,(B27-G27)*$B$12)</f>
        <v>770.09298713904366</v>
      </c>
      <c r="G27" s="1">
        <f>MIN($B$11,B27)</f>
        <v>340</v>
      </c>
      <c r="H27" s="52">
        <f t="shared" si="0"/>
        <v>1110.0929871390435</v>
      </c>
      <c r="I27" s="5"/>
      <c r="K27" s="7"/>
      <c r="L27" s="1"/>
      <c r="M27" s="1"/>
      <c r="N27" s="6"/>
      <c r="O27" s="5"/>
      <c r="Q27" s="7"/>
      <c r="R27" s="1"/>
      <c r="S27" s="1"/>
      <c r="T27" s="6"/>
      <c r="U27" s="5"/>
    </row>
    <row r="28" spans="1:21" x14ac:dyDescent="0.25">
      <c r="A28" s="54">
        <v>75000000</v>
      </c>
      <c r="B28" s="1">
        <f>IF(A28&lt;$B$10,0,IF($B$9&gt;A28,($B$8/(1+$B$6))*(A28/$B$2*(1+$B$10/A28*$B$6)),($B$8/(1+$B$6))*($B$9/$B$2*(1+$B$10/A28*$B$6))))</f>
        <v>58208.881339480708</v>
      </c>
      <c r="C28" s="16">
        <f>B28*73</f>
        <v>4249248.3377820915</v>
      </c>
      <c r="D28" s="15">
        <f>C28/A28</f>
        <v>5.6656644503761219E-2</v>
      </c>
      <c r="E28" s="14">
        <f>IF(B28=0, 0, (B28-F28-G28)*73/A28)</f>
        <v>5.519919694701933E-2</v>
      </c>
      <c r="F28" s="13">
        <f>IF(B28&lt;G28,0,(B28-G28)*$B$12)</f>
        <v>1157.3776267896142</v>
      </c>
      <c r="G28" s="1">
        <f>MIN($B$11,B28)</f>
        <v>340</v>
      </c>
      <c r="H28" s="52">
        <f t="shared" si="0"/>
        <v>1497.3776267896142</v>
      </c>
      <c r="I28" s="5"/>
      <c r="K28" s="7"/>
      <c r="L28" s="1"/>
      <c r="M28" s="1"/>
      <c r="N28" s="6"/>
      <c r="O28" s="5"/>
      <c r="Q28" s="7"/>
      <c r="R28" s="1"/>
      <c r="S28" s="1"/>
      <c r="T28" s="6"/>
      <c r="U28" s="5"/>
    </row>
    <row r="29" spans="1:21" x14ac:dyDescent="0.25">
      <c r="A29" s="54">
        <v>100000000</v>
      </c>
      <c r="B29" s="1">
        <f>IF(A29&lt;$B$10,0,IF($B$9&gt;A29,($B$8/(1+$B$6))*(A29/$B$2*(1+$B$10/A29*$B$6)),($B$8/(1+$B$6))*($B$9/$B$2*(1+$B$10/A29*$B$6))))</f>
        <v>77573.113322009216</v>
      </c>
      <c r="C29" s="16">
        <f>B29*73</f>
        <v>5662837.2725066729</v>
      </c>
      <c r="D29" s="15">
        <f>C29/A29</f>
        <v>5.6628372725066732E-2</v>
      </c>
      <c r="E29" s="14">
        <f>IF(B29=0, 0, (B29-F29-G29)*73/A29)</f>
        <v>5.5252569270565398E-2</v>
      </c>
      <c r="F29" s="13">
        <f>IF(B29&lt;G29,0,(B29-G29)*$B$12)</f>
        <v>1544.6622664401843</v>
      </c>
      <c r="G29" s="1">
        <f>MIN($B$11,B29)</f>
        <v>340</v>
      </c>
      <c r="H29" s="52">
        <f t="shared" si="0"/>
        <v>1884.6622664401843</v>
      </c>
      <c r="I29" s="5"/>
      <c r="K29" s="7"/>
      <c r="L29" s="1"/>
      <c r="M29" s="1"/>
      <c r="N29" s="6"/>
      <c r="O29" s="5"/>
      <c r="Q29" s="7"/>
      <c r="R29" s="1"/>
      <c r="S29" s="1"/>
      <c r="T29" s="6"/>
      <c r="U29" s="5"/>
    </row>
    <row r="30" spans="1:21" x14ac:dyDescent="0.25">
      <c r="A30" s="54">
        <v>125000000</v>
      </c>
      <c r="B30" s="1">
        <f>IF(A30&lt;$B$10,0,IF($B$9&gt;A30,($B$8/(1+$B$6))*(A30/$B$2*(1+$B$10/A30*$B$6)),($B$8/(1+$B$6))*($B$9/$B$2*(1+$B$10/A30*$B$6))))</f>
        <v>96937.345304537725</v>
      </c>
      <c r="C30" s="16">
        <f>B30*73</f>
        <v>7076426.2072312543</v>
      </c>
      <c r="D30" s="15">
        <f>C30/A30</f>
        <v>5.6611409657850033E-2</v>
      </c>
      <c r="E30" s="14">
        <f>IF(B30=0, 0, (B30-F30-G30)*73/A30)</f>
        <v>5.528459266469303E-2</v>
      </c>
      <c r="F30" s="13">
        <f>IF(B30&lt;G30,0,(B30-G30)*$B$12)</f>
        <v>1931.9469060907545</v>
      </c>
      <c r="G30" s="1">
        <f>MIN($B$11,B30)</f>
        <v>340</v>
      </c>
      <c r="H30" s="52">
        <f t="shared" si="0"/>
        <v>2271.9469060907545</v>
      </c>
      <c r="I30" s="5"/>
      <c r="K30" s="7"/>
      <c r="L30" s="1"/>
      <c r="M30" s="1"/>
      <c r="N30" s="6"/>
      <c r="O30" s="5"/>
      <c r="Q30" s="7"/>
      <c r="R30" s="1"/>
      <c r="S30" s="1"/>
      <c r="T30" s="6"/>
      <c r="U30" s="5"/>
    </row>
    <row r="31" spans="1:21" x14ac:dyDescent="0.25">
      <c r="A31" s="54">
        <v>150000000</v>
      </c>
      <c r="B31" s="1">
        <f>IF(A31&lt;$B$10,0,IF($B$9&gt;A31,($B$8/(1+$B$6))*(A31/$B$2*(1+$B$10/A31*$B$6)),($B$8/(1+$B$6))*($B$9/$B$2*(1+$B$10/A31*$B$6))))</f>
        <v>116301.57728706622</v>
      </c>
      <c r="C31" s="16">
        <f>B31*73</f>
        <v>8490015.1419558339</v>
      </c>
      <c r="D31" s="15">
        <f>C31/A31</f>
        <v>5.6600100946372224E-2</v>
      </c>
      <c r="E31" s="14">
        <f>IF(B31=0, 0, (B31-F31-G31)*73/A31)</f>
        <v>5.5305941594111445E-2</v>
      </c>
      <c r="F31" s="13">
        <f>IF(B31&lt;G31,0,(B31-G31)*$B$12)</f>
        <v>2319.2315457413242</v>
      </c>
      <c r="G31" s="1">
        <f>MIN($B$11,B31)</f>
        <v>340</v>
      </c>
      <c r="H31" s="52">
        <f t="shared" si="0"/>
        <v>2659.2315457413242</v>
      </c>
      <c r="I31" s="5"/>
      <c r="K31" s="7"/>
      <c r="L31" s="1"/>
      <c r="M31" s="1"/>
      <c r="N31" s="6"/>
      <c r="O31" s="5"/>
      <c r="Q31" s="7"/>
      <c r="R31" s="1"/>
      <c r="S31" s="1"/>
      <c r="T31" s="6"/>
      <c r="U31" s="5"/>
    </row>
    <row r="32" spans="1:21" x14ac:dyDescent="0.25">
      <c r="A32" s="54">
        <v>175000000</v>
      </c>
      <c r="B32" s="1">
        <f>IF(A32&lt;$B$10,0,IF($B$9&gt;A32,($B$8/(1+$B$6))*(A32/$B$2*(1+$B$10/A32*$B$6)),($B$8/(1+$B$6))*($B$9/$B$2*(1+$B$10/A32*$B$6))))</f>
        <v>135665.80926959476</v>
      </c>
      <c r="C32" s="16">
        <f>B32*73</f>
        <v>9903604.0766804181</v>
      </c>
      <c r="D32" s="15">
        <f>C32/A32</f>
        <v>5.6592023295316672E-2</v>
      </c>
      <c r="E32" s="14">
        <f>IF(B32=0, 0, (B32-F32-G32)*73/A32)</f>
        <v>5.5321190829410338E-2</v>
      </c>
      <c r="F32" s="13">
        <f>IF(B32&lt;G32,0,(B32-G32)*$B$12)</f>
        <v>2706.5161853918953</v>
      </c>
      <c r="G32" s="1">
        <f>MIN($B$11,B32)</f>
        <v>340</v>
      </c>
      <c r="H32" s="52">
        <f t="shared" si="0"/>
        <v>3046.5161853918953</v>
      </c>
      <c r="I32" s="5"/>
      <c r="K32" s="7"/>
      <c r="L32" s="1"/>
      <c r="M32" s="1"/>
      <c r="N32" s="6"/>
      <c r="O32" s="5"/>
      <c r="Q32" s="7"/>
      <c r="R32" s="1"/>
      <c r="S32" s="1"/>
      <c r="T32" s="6"/>
      <c r="U32" s="5"/>
    </row>
    <row r="33" spans="1:21" x14ac:dyDescent="0.25">
      <c r="A33" s="54">
        <v>200000000</v>
      </c>
      <c r="B33" s="1">
        <f>IF(A33&lt;$B$10,0,IF($B$9&gt;A33,($B$8/(1+$B$6))*(A33/$B$2*(1+$B$10/A33*$B$6)),($B$8/(1+$B$6))*($B$9/$B$2*(1+$B$10/A33*$B$6))))</f>
        <v>155030.04125212325</v>
      </c>
      <c r="C33" s="16">
        <f>B33*73</f>
        <v>11317193.011404997</v>
      </c>
      <c r="D33" s="15">
        <f>C33/A33</f>
        <v>5.6585965057024984E-2</v>
      </c>
      <c r="E33" s="14">
        <f>IF(B33=0, 0, (B33-F33-G33)*73/A33)</f>
        <v>5.5332627755884482E-2</v>
      </c>
      <c r="F33" s="13">
        <f>IF(B33&lt;G33,0,(B33-G33)*$B$12)</f>
        <v>3093.800825042465</v>
      </c>
      <c r="G33" s="1">
        <f>MIN($B$11,B33)</f>
        <v>340</v>
      </c>
      <c r="H33" s="52">
        <f t="shared" si="0"/>
        <v>3433.800825042465</v>
      </c>
      <c r="I33" s="5"/>
      <c r="K33" s="7"/>
      <c r="L33" s="1"/>
      <c r="M33" s="1"/>
      <c r="N33" s="6"/>
      <c r="O33" s="5"/>
      <c r="Q33" s="7"/>
      <c r="R33" s="1"/>
      <c r="S33" s="1"/>
      <c r="T33" s="6"/>
      <c r="U33" s="5"/>
    </row>
    <row r="34" spans="1:21" x14ac:dyDescent="0.25">
      <c r="A34" s="54">
        <f>B9</f>
        <v>211333333.33333334</v>
      </c>
      <c r="B34" s="1">
        <f>IF(A34&lt;$B$10,0,IF($B$9&gt;A34,($B$8/(1+$B$6))*(A34/$B$2*(1+$B$10/A34*$B$6)),($B$8/(1+$B$6))*($B$9/$B$2*(1+$B$10/A34*$B$6))))</f>
        <v>163808.49308420287</v>
      </c>
      <c r="C34" s="16">
        <f>B34*73</f>
        <v>11958019.995146809</v>
      </c>
      <c r="D34" s="15">
        <f>C34/A34</f>
        <v>5.6583690828770385E-2</v>
      </c>
      <c r="E34" s="14">
        <f>IF(B34=0, 0, (B34-F34-G34)*73/A34)</f>
        <v>5.5336921113141348E-2</v>
      </c>
      <c r="F34" s="13">
        <f>IF(B34&lt;G34,0,(B34-G34)*$B$12)</f>
        <v>3269.3698616840575</v>
      </c>
      <c r="G34" s="1">
        <f>MIN($B$11,B34)</f>
        <v>340</v>
      </c>
      <c r="H34" s="52">
        <f t="shared" si="0"/>
        <v>3609.3698616840575</v>
      </c>
      <c r="I34" s="5"/>
      <c r="K34" s="7"/>
      <c r="L34" s="1"/>
      <c r="M34" s="1"/>
      <c r="N34" s="6"/>
      <c r="O34" s="5"/>
      <c r="Q34" s="7"/>
      <c r="R34" s="1"/>
      <c r="S34" s="1"/>
      <c r="T34" s="6"/>
      <c r="U34" s="5"/>
    </row>
    <row r="35" spans="1:21" x14ac:dyDescent="0.25">
      <c r="A35" s="54">
        <v>250000000</v>
      </c>
      <c r="B35" s="1">
        <f>IF(A35&lt;$B$10,0,IF($B$9&gt;A35,($B$8/(1+$B$6))*(A35/$B$2*(1+$B$10/A35*$B$6)),($B$8/(1+$B$6))*($B$9/$B$2*(1+$B$10/A35*$B$6))))</f>
        <v>163790.52307692307</v>
      </c>
      <c r="C35" s="16">
        <f>B35*73</f>
        <v>11956708.184615385</v>
      </c>
      <c r="D35" s="15">
        <f>C35/A35</f>
        <v>4.7826832738461542E-2</v>
      </c>
      <c r="E35" s="14">
        <f>IF(B35=0, 0, (B35-F35-G35)*73/A35)</f>
        <v>4.6773001683692306E-2</v>
      </c>
      <c r="F35" s="13">
        <f>IF(B35&lt;G35,0,(B35-G35)*$B$12)</f>
        <v>3269.0104615384616</v>
      </c>
      <c r="G35" s="1">
        <f>MIN($B$11,B35)</f>
        <v>340</v>
      </c>
      <c r="H35" s="52">
        <f t="shared" si="0"/>
        <v>3609.0104615384616</v>
      </c>
      <c r="I35" s="5"/>
      <c r="K35" s="7"/>
      <c r="L35" s="1"/>
      <c r="M35" s="1"/>
      <c r="N35" s="6"/>
      <c r="O35" s="5"/>
      <c r="Q35" s="7"/>
      <c r="R35" s="1"/>
      <c r="S35" s="1"/>
      <c r="T35" s="6"/>
      <c r="U35" s="5"/>
    </row>
    <row r="36" spans="1:21" x14ac:dyDescent="0.25">
      <c r="A36" s="54">
        <v>275000000</v>
      </c>
      <c r="B36" s="1">
        <f>IF(A36&lt;$B$10,0,IF($B$9&gt;A36,($B$8/(1+$B$6))*(A36/$B$2*(1+$B$10/A36*$B$6)),($B$8/(1+$B$6))*($B$9/$B$2*(1+$B$10/A36*$B$6))))</f>
        <v>163781.59440559443</v>
      </c>
      <c r="C36" s="16">
        <f>B36*73</f>
        <v>11956056.391608393</v>
      </c>
      <c r="D36" s="15">
        <f>C36/A36</f>
        <v>4.3476568696757791E-2</v>
      </c>
      <c r="E36" s="14">
        <f>IF(B36=0, 0, (B36-F36-G36)*73/A36)</f>
        <v>4.2518587868277183E-2</v>
      </c>
      <c r="F36" s="13">
        <f>IF(B36&lt;G36,0,(B36-G36)*$B$12)</f>
        <v>3268.8318881118885</v>
      </c>
      <c r="G36" s="1">
        <f>MIN($B$11,B36)</f>
        <v>340</v>
      </c>
      <c r="H36" s="52">
        <f t="shared" si="0"/>
        <v>3608.8318881118885</v>
      </c>
      <c r="I36" s="5"/>
      <c r="K36" s="7"/>
      <c r="L36" s="1"/>
      <c r="M36" s="1"/>
      <c r="N36" s="6"/>
      <c r="O36" s="5"/>
      <c r="Q36" s="7"/>
      <c r="R36" s="1"/>
      <c r="S36" s="1"/>
      <c r="T36" s="6"/>
      <c r="U36" s="5"/>
    </row>
    <row r="37" spans="1:21" x14ac:dyDescent="0.25">
      <c r="A37" s="55">
        <v>300000000</v>
      </c>
      <c r="B37" s="8">
        <f>IF(A37&lt;$B$10,0,IF($B$9&gt;A37,($B$8/(1+$B$6))*(A37/$B$2*(1+$B$10/A37*$B$6)),($B$8/(1+$B$6))*($B$9/$B$2*(1+$B$10/A37*$B$6))))</f>
        <v>163774.15384615381</v>
      </c>
      <c r="C37" s="12">
        <f>B37*73</f>
        <v>11955513.230769228</v>
      </c>
      <c r="D37" s="11">
        <f>C37/A37</f>
        <v>3.9851710769230761E-2</v>
      </c>
      <c r="E37" s="10">
        <f>IF(B37=0, 0, (B37-F37-G37)*73/A37)</f>
        <v>3.8973597887179481E-2</v>
      </c>
      <c r="F37" s="9">
        <f>IF(B37&lt;G37,0,(B37-G37)*$B$12)</f>
        <v>3268.6830769230764</v>
      </c>
      <c r="G37" s="8">
        <f>MIN($B$11,B37)</f>
        <v>340</v>
      </c>
      <c r="H37" s="53">
        <f t="shared" si="0"/>
        <v>3608.6830769230764</v>
      </c>
      <c r="I37" s="5"/>
      <c r="K37" s="7"/>
      <c r="L37" s="1"/>
      <c r="M37" s="1"/>
      <c r="N37" s="6"/>
      <c r="O37" s="5"/>
      <c r="Q37" s="7"/>
      <c r="R37" s="1"/>
      <c r="S37" s="1"/>
      <c r="T37" s="6"/>
      <c r="U37" s="5"/>
    </row>
    <row r="41" spans="1:21" x14ac:dyDescent="0.25">
      <c r="G41" s="3"/>
      <c r="M41" s="4" t="s">
        <v>0</v>
      </c>
    </row>
    <row r="43" spans="1:21" x14ac:dyDescent="0.25">
      <c r="G43" s="3"/>
    </row>
    <row r="44" spans="1:21" x14ac:dyDescent="0.25">
      <c r="B44" s="1"/>
    </row>
    <row r="45" spans="1:21" x14ac:dyDescent="0.25">
      <c r="B45" s="1"/>
    </row>
    <row r="46" spans="1:21" x14ac:dyDescent="0.25">
      <c r="B46" s="1"/>
    </row>
    <row r="47" spans="1:21" x14ac:dyDescent="0.25">
      <c r="B47" s="1"/>
      <c r="G47" s="3"/>
    </row>
    <row r="48" spans="1:21" x14ac:dyDescent="0.25">
      <c r="B48" s="1"/>
      <c r="G48" s="3"/>
    </row>
    <row r="49" spans="2:20" x14ac:dyDescent="0.25">
      <c r="B49" s="1"/>
      <c r="T49" s="2"/>
    </row>
    <row r="50" spans="2:20" x14ac:dyDescent="0.25">
      <c r="B50" s="1"/>
      <c r="T50" s="2"/>
    </row>
    <row r="51" spans="2:20" x14ac:dyDescent="0.25">
      <c r="B51" s="1"/>
      <c r="T51" s="2"/>
    </row>
    <row r="52" spans="2:20" x14ac:dyDescent="0.25">
      <c r="B52" s="1"/>
      <c r="T52" s="2"/>
    </row>
    <row r="53" spans="2:20" x14ac:dyDescent="0.25">
      <c r="B53" s="1"/>
    </row>
    <row r="54" spans="2:20" x14ac:dyDescent="0.25">
      <c r="B54" s="1"/>
    </row>
    <row r="55" spans="2:20" x14ac:dyDescent="0.25">
      <c r="B55" s="1"/>
    </row>
  </sheetData>
  <mergeCells count="3">
    <mergeCell ref="L13:O13"/>
    <mergeCell ref="R13:U13"/>
    <mergeCell ref="F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2020-09-06T10:55:01Z</dcterms:created>
  <dcterms:modified xsi:type="dcterms:W3CDTF">2020-09-06T10:55:15Z</dcterms:modified>
</cp:coreProperties>
</file>